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6" activeTab="0"/>
  </bookViews>
  <sheets>
    <sheet name="Estimated salary" sheetId="1" r:id="rId1"/>
    <sheet name="Sheet2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Q36" authorId="0">
      <text>
        <r>
          <rPr>
            <b/>
            <sz val="8"/>
            <color indexed="8"/>
            <rFont val="Tahoma"/>
            <family val="2"/>
          </rPr>
          <t>Full time teachers are employed for 25 hours per week. 
Of this 25 hours:
Fully registered teachers have up to 20 hours contact;
Year 1 teachers have up to 15 hours contact;
Year 2 teachers have up to 17.5 hours contact.</t>
        </r>
      </text>
    </comment>
    <comment ref="Q37" authorId="0">
      <text>
        <r>
          <rPr>
            <b/>
            <sz val="8"/>
            <color indexed="8"/>
            <rFont val="Tahoma"/>
            <family val="2"/>
          </rPr>
          <t xml:space="preserve">Teachers may be employed for no more than 22.25 hours per week as part time.
</t>
        </r>
      </text>
    </comment>
  </commentList>
</comments>
</file>

<file path=xl/sharedStrings.xml><?xml version="1.0" encoding="utf-8"?>
<sst xmlns="http://schemas.openxmlformats.org/spreadsheetml/2006/main" count="149" uniqueCount="107">
  <si>
    <t>No</t>
  </si>
  <si>
    <t>Yes</t>
  </si>
  <si>
    <t>Don't know</t>
  </si>
  <si>
    <t>untrained and unqualified</t>
  </si>
  <si>
    <t>G1</t>
  </si>
  <si>
    <t>G2</t>
  </si>
  <si>
    <t>G3</t>
  </si>
  <si>
    <t>G3+</t>
  </si>
  <si>
    <t>G4</t>
  </si>
  <si>
    <t>G4+</t>
  </si>
  <si>
    <t>G5</t>
  </si>
  <si>
    <t>G5+</t>
  </si>
  <si>
    <t>SALARY CALCULATOR</t>
  </si>
  <si>
    <t>Ed Quals</t>
  </si>
  <si>
    <t>Today's date</t>
  </si>
  <si>
    <t xml:space="preserve">Click here for important note </t>
  </si>
  <si>
    <t>Instructions</t>
  </si>
  <si>
    <r>
      <t>Step 1</t>
    </r>
    <r>
      <rPr>
        <b/>
        <sz val="14"/>
        <rFont val="Arial"/>
        <family val="2"/>
      </rPr>
      <t xml:space="preserve">: </t>
    </r>
    <r>
      <rPr>
        <b/>
        <sz val="9"/>
        <rFont val="Arial"/>
        <family val="2"/>
      </rPr>
      <t xml:space="preserve">Ensure that all response boxes below are empty before you begin. </t>
    </r>
  </si>
  <si>
    <t>If a response box (blue or green) is not blank click on it and press the delete key.</t>
  </si>
  <si>
    <r>
      <t xml:space="preserve">Step 2: </t>
    </r>
    <r>
      <rPr>
        <b/>
        <sz val="9"/>
        <rFont val="Arial"/>
        <family val="2"/>
      </rPr>
      <t>Start at question 1 and work through the questions in sequence - you must answer each section</t>
    </r>
  </si>
  <si>
    <t>Ususally one response will be sufficient, but sometimes an answer will prompt other questions to appear.</t>
  </si>
  <si>
    <t>Only put responses into a blue or green box if there is a question to its left.</t>
  </si>
  <si>
    <t>Click on the blue boxes - a drop key appears to the right.  Click on the drop key and choose from the options.</t>
  </si>
  <si>
    <t>In the green boxes type in any response you are asked for.</t>
  </si>
  <si>
    <t>Click on the grey boxes for additional information.</t>
  </si>
  <si>
    <r>
      <t>Step 3</t>
    </r>
    <r>
      <rPr>
        <b/>
        <sz val="14"/>
        <rFont val="Arial"/>
        <family val="2"/>
      </rPr>
      <t xml:space="preserve">: </t>
    </r>
    <r>
      <rPr>
        <b/>
        <sz val="9"/>
        <rFont val="Arial"/>
        <family val="2"/>
      </rPr>
      <t>When all four sets of questions are answered your expected salary details will be in the summary box below.</t>
    </r>
  </si>
  <si>
    <t>Master of Education</t>
  </si>
  <si>
    <t>Bachelor of Education (Honours)</t>
  </si>
  <si>
    <t>Questions</t>
  </si>
  <si>
    <t>Bachelor of Education (3 year)</t>
  </si>
  <si>
    <t>Notes</t>
  </si>
  <si>
    <t>What is your qualification group?</t>
  </si>
  <si>
    <t>Diploma of Teaching</t>
  </si>
  <si>
    <t>Teaching Certificate</t>
  </si>
  <si>
    <t>No teacher training qualification</t>
  </si>
  <si>
    <t>Do you have work experience relevent to your teaching?</t>
  </si>
  <si>
    <t>Subject Quals</t>
  </si>
  <si>
    <t>PhD</t>
  </si>
  <si>
    <t>Level 9 or 10 subject qualification</t>
  </si>
  <si>
    <t>Are you a registered or provisionaly registered teacher?</t>
  </si>
  <si>
    <t>Masterate</t>
  </si>
  <si>
    <t xml:space="preserve">Subject-based 4 year Bachelor Hons. degree </t>
  </si>
  <si>
    <t>Level 8 120+ credit subject qualifcation</t>
  </si>
  <si>
    <t xml:space="preserve">Subject-based 3 year Bachelor degree </t>
  </si>
  <si>
    <t>Level 7 120+ credit subject qualifcation</t>
  </si>
  <si>
    <t>Subject-based Advanced Diplomas</t>
  </si>
  <si>
    <t>Trade Certificate</t>
  </si>
  <si>
    <t>National Diplomas</t>
  </si>
  <si>
    <t>Advanced Trade Certificates</t>
  </si>
  <si>
    <t>Level 6 subject qualification</t>
  </si>
  <si>
    <t>Level 5 subject qualification</t>
  </si>
  <si>
    <t>Are you to be employed fulltime?</t>
  </si>
  <si>
    <t>No subject-based tertiary qualification</t>
  </si>
  <si>
    <t>Entry step</t>
  </si>
  <si>
    <t>SUMMARY:</t>
  </si>
  <si>
    <t>Your expected starting step is step</t>
  </si>
  <si>
    <t xml:space="preserve">The full time annual rate for this step is </t>
  </si>
  <si>
    <t xml:space="preserve">Your future maximum salary step (without a permanent unit) is step </t>
  </si>
  <si>
    <t>Your full time equivalency (FTE) is</t>
  </si>
  <si>
    <t xml:space="preserve">Your pro-rata salary rate is </t>
  </si>
  <si>
    <t xml:space="preserve">Your expected starting annual salary is </t>
  </si>
  <si>
    <t xml:space="preserve">Your expected fortnightly pre-tax (gross) starting salary is </t>
  </si>
  <si>
    <t>If you are a day reliever your expected gross hourly rate is</t>
  </si>
  <si>
    <t>If you are a short term reliever your expected gross daily rate is</t>
  </si>
  <si>
    <t>Qual group</t>
  </si>
  <si>
    <t>step</t>
  </si>
  <si>
    <t>max</t>
  </si>
  <si>
    <t>Subject Qual</t>
  </si>
  <si>
    <t>Score</t>
  </si>
  <si>
    <t>G group</t>
  </si>
  <si>
    <t>3+</t>
  </si>
  <si>
    <t>Qualification combination</t>
  </si>
  <si>
    <t>Entry Step</t>
  </si>
  <si>
    <t>Max step</t>
  </si>
  <si>
    <t>nn</t>
  </si>
  <si>
    <t>certl5</t>
  </si>
  <si>
    <t>No subject-based tertiary qualifiation</t>
  </si>
  <si>
    <t>ng2</t>
  </si>
  <si>
    <t>ng3</t>
  </si>
  <si>
    <t>ng3+</t>
  </si>
  <si>
    <t>Ed Qual</t>
  </si>
  <si>
    <t>ng4</t>
  </si>
  <si>
    <t>ng5</t>
  </si>
  <si>
    <t>certn</t>
  </si>
  <si>
    <t>Two thirds of a degree</t>
  </si>
  <si>
    <t>certg2</t>
  </si>
  <si>
    <t>certg3</t>
  </si>
  <si>
    <t>Salary scale</t>
  </si>
  <si>
    <t>certg3+</t>
  </si>
  <si>
    <t>certg4</t>
  </si>
  <si>
    <t>certg5</t>
  </si>
  <si>
    <t>bed3yrn</t>
  </si>
  <si>
    <t>bed3yrg3+</t>
  </si>
  <si>
    <t>bed3yrg4</t>
  </si>
  <si>
    <t>bed3yrg5</t>
  </si>
  <si>
    <t>bed4yrn</t>
  </si>
  <si>
    <t>bed4yrg3+</t>
  </si>
  <si>
    <t>bed4yrg4</t>
  </si>
  <si>
    <t>bed4yrg5</t>
  </si>
  <si>
    <t>m.Ed</t>
  </si>
  <si>
    <t>m.Edl5</t>
  </si>
  <si>
    <t>mEdg2</t>
  </si>
  <si>
    <t>medg3</t>
  </si>
  <si>
    <t>medg3+</t>
  </si>
  <si>
    <t>medg4</t>
  </si>
  <si>
    <t>medg5</t>
  </si>
  <si>
    <t>medg5+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</si>
</sst>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DD/MM/YYYY"/>
    <numFmt numFmtId="166" formatCode="0"/>
    <numFmt numFmtId="167" formatCode="\$#,##0"/>
    <numFmt numFmtId="168" formatCode="0.00%"/>
    <numFmt numFmtId="169" formatCode="\$#,##0.00"/>
    <numFmt numFmtId="170" formatCode="DD\-MMM"/>
    <numFmt numFmtId="171" formatCode="#,##0"/>
  </numFmts>
  <fonts count="16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10"/>
      <name val="Arial Narrow"/>
      <family val="2"/>
    </font>
    <font>
      <b/>
      <sz val="10"/>
      <name val="Times New Roman"/>
      <family val="1"/>
    </font>
    <font>
      <b/>
      <sz val="8"/>
      <color indexed="8"/>
      <name val="Tahoma"/>
      <family val="2"/>
    </font>
    <font>
      <b/>
      <sz val="14"/>
      <color indexed="10"/>
      <name val="Arial"/>
      <family val="2"/>
    </font>
    <font>
      <sz val="10"/>
      <name val="Arial Mäori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5" fontId="4" fillId="0" borderId="0" xfId="0" applyNumberFormat="1" applyFont="1" applyFill="1" applyAlignment="1">
      <alignment/>
    </xf>
    <xf numFmtId="164" fontId="0" fillId="2" borderId="1" xfId="0" applyFill="1" applyBorder="1" applyAlignment="1">
      <alignment/>
    </xf>
    <xf numFmtId="164" fontId="5" fillId="0" borderId="2" xfId="0" applyFont="1" applyBorder="1" applyAlignment="1">
      <alignment/>
    </xf>
    <xf numFmtId="164" fontId="0" fillId="0" borderId="3" xfId="0" applyBorder="1" applyAlignment="1">
      <alignment/>
    </xf>
    <xf numFmtId="164" fontId="2" fillId="0" borderId="3" xfId="0" applyFont="1" applyFill="1" applyBorder="1" applyAlignment="1">
      <alignment/>
    </xf>
    <xf numFmtId="164" fontId="0" fillId="0" borderId="3" xfId="0" applyBorder="1" applyAlignment="1">
      <alignment horizontal="center"/>
    </xf>
    <xf numFmtId="164" fontId="2" fillId="0" borderId="3" xfId="0" applyFont="1" applyBorder="1" applyAlignment="1">
      <alignment/>
    </xf>
    <xf numFmtId="164" fontId="0" fillId="0" borderId="4" xfId="0" applyBorder="1" applyAlignment="1">
      <alignment/>
    </xf>
    <xf numFmtId="164" fontId="5" fillId="0" borderId="5" xfId="0" applyFont="1" applyBorder="1" applyAlignment="1">
      <alignment/>
    </xf>
    <xf numFmtId="164" fontId="7" fillId="0" borderId="0" xfId="0" applyFont="1" applyBorder="1" applyAlignment="1">
      <alignment/>
    </xf>
    <xf numFmtId="164" fontId="0" fillId="0" borderId="0" xfId="0" applyBorder="1" applyAlignment="1">
      <alignment/>
    </xf>
    <xf numFmtId="164" fontId="2" fillId="0" borderId="0" xfId="0" applyFont="1" applyFill="1" applyBorder="1" applyAlignment="1">
      <alignment/>
    </xf>
    <xf numFmtId="164" fontId="0" fillId="0" borderId="0" xfId="0" applyBorder="1" applyAlignment="1">
      <alignment horizontal="center"/>
    </xf>
    <xf numFmtId="164" fontId="2" fillId="0" borderId="0" xfId="0" applyFont="1" applyBorder="1" applyAlignment="1">
      <alignment/>
    </xf>
    <xf numFmtId="164" fontId="0" fillId="0" borderId="6" xfId="0" applyBorder="1" applyAlignment="1">
      <alignment/>
    </xf>
    <xf numFmtId="164" fontId="0" fillId="0" borderId="0" xfId="0" applyFill="1" applyBorder="1" applyAlignment="1">
      <alignment/>
    </xf>
    <xf numFmtId="164" fontId="1" fillId="0" borderId="5" xfId="0" applyFont="1" applyBorder="1" applyAlignment="1">
      <alignment/>
    </xf>
    <xf numFmtId="164" fontId="6" fillId="0" borderId="0" xfId="0" applyFont="1" applyBorder="1" applyAlignment="1">
      <alignment/>
    </xf>
    <xf numFmtId="164" fontId="0" fillId="0" borderId="5" xfId="0" applyBorder="1" applyAlignment="1">
      <alignment/>
    </xf>
    <xf numFmtId="164" fontId="6" fillId="3" borderId="0" xfId="0" applyFont="1" applyFill="1" applyBorder="1" applyAlignment="1">
      <alignment/>
    </xf>
    <xf numFmtId="164" fontId="6" fillId="0" borderId="0" xfId="0" applyFont="1" applyFill="1" applyBorder="1" applyAlignment="1">
      <alignment/>
    </xf>
    <xf numFmtId="164" fontId="5" fillId="0" borderId="7" xfId="0" applyFont="1" applyBorder="1" applyAlignment="1">
      <alignment/>
    </xf>
    <xf numFmtId="164" fontId="0" fillId="0" borderId="8" xfId="0" applyBorder="1" applyAlignment="1">
      <alignment/>
    </xf>
    <xf numFmtId="164" fontId="0" fillId="0" borderId="8" xfId="0" applyBorder="1" applyAlignment="1">
      <alignment horizontal="center"/>
    </xf>
    <xf numFmtId="164" fontId="0" fillId="0" borderId="9" xfId="0" applyBorder="1" applyAlignment="1">
      <alignment/>
    </xf>
    <xf numFmtId="164" fontId="5" fillId="0" borderId="0" xfId="0" applyFont="1" applyAlignment="1">
      <alignment/>
    </xf>
    <xf numFmtId="164" fontId="1" fillId="0" borderId="8" xfId="0" applyFont="1" applyBorder="1" applyAlignment="1">
      <alignment horizontal="center"/>
    </xf>
    <xf numFmtId="166" fontId="2" fillId="0" borderId="0" xfId="0" applyNumberFormat="1" applyFont="1" applyAlignment="1">
      <alignment/>
    </xf>
    <xf numFmtId="164" fontId="8" fillId="0" borderId="0" xfId="0" applyFont="1" applyAlignment="1">
      <alignment/>
    </xf>
    <xf numFmtId="164" fontId="0" fillId="4" borderId="10" xfId="0" applyFont="1" applyFill="1" applyBorder="1" applyAlignment="1" applyProtection="1">
      <alignment horizontal="center"/>
      <protection locked="0"/>
    </xf>
    <xf numFmtId="164" fontId="2" fillId="0" borderId="0" xfId="0" applyFont="1" applyAlignment="1" applyProtection="1">
      <alignment/>
      <protection hidden="1"/>
    </xf>
    <xf numFmtId="164" fontId="8" fillId="0" borderId="0" xfId="0" applyFont="1" applyAlignment="1" applyProtection="1">
      <alignment/>
      <protection hidden="1"/>
    </xf>
    <xf numFmtId="164" fontId="0" fillId="5" borderId="11" xfId="0" applyFill="1" applyBorder="1" applyAlignment="1" applyProtection="1">
      <alignment horizontal="center"/>
      <protection locked="0"/>
    </xf>
    <xf numFmtId="164" fontId="9" fillId="0" borderId="0" xfId="0" applyFont="1" applyAlignment="1">
      <alignment/>
    </xf>
    <xf numFmtId="164" fontId="0" fillId="5" borderId="1" xfId="0" applyFill="1" applyBorder="1" applyAlignment="1" applyProtection="1">
      <alignment horizontal="center"/>
      <protection locked="0"/>
    </xf>
    <xf numFmtId="164" fontId="0" fillId="0" borderId="0" xfId="0" applyAlignment="1" applyProtection="1">
      <alignment/>
      <protection hidden="1"/>
    </xf>
    <xf numFmtId="164" fontId="0" fillId="4" borderId="1" xfId="0" applyFont="1" applyFill="1" applyBorder="1" applyAlignment="1" applyProtection="1">
      <alignment horizontal="center"/>
      <protection locked="0"/>
    </xf>
    <xf numFmtId="164" fontId="8" fillId="0" borderId="0" xfId="0" applyFont="1" applyBorder="1" applyAlignment="1" applyProtection="1">
      <alignment/>
      <protection hidden="1"/>
    </xf>
    <xf numFmtId="164" fontId="0" fillId="0" borderId="0" xfId="0" applyNumberFormat="1" applyAlignment="1">
      <alignment/>
    </xf>
    <xf numFmtId="164" fontId="11" fillId="6" borderId="2" xfId="0" applyFont="1" applyFill="1" applyBorder="1" applyAlignment="1">
      <alignment/>
    </xf>
    <xf numFmtId="164" fontId="0" fillId="6" borderId="12" xfId="0" applyFill="1" applyBorder="1" applyAlignment="1">
      <alignment/>
    </xf>
    <xf numFmtId="164" fontId="12" fillId="6" borderId="3" xfId="0" applyFont="1" applyFill="1" applyBorder="1" applyAlignment="1">
      <alignment/>
    </xf>
    <xf numFmtId="164" fontId="0" fillId="6" borderId="3" xfId="0" applyFill="1" applyBorder="1" applyAlignment="1">
      <alignment/>
    </xf>
    <xf numFmtId="164" fontId="0" fillId="6" borderId="4" xfId="0" applyFill="1" applyBorder="1" applyAlignment="1">
      <alignment/>
    </xf>
    <xf numFmtId="164" fontId="0" fillId="6" borderId="5" xfId="0" applyFont="1" applyFill="1" applyBorder="1" applyAlignment="1">
      <alignment/>
    </xf>
    <xf numFmtId="164" fontId="0" fillId="6" borderId="0" xfId="0" applyFill="1" applyBorder="1" applyAlignment="1">
      <alignment/>
    </xf>
    <xf numFmtId="164" fontId="0" fillId="6" borderId="10" xfId="0" applyFill="1" applyBorder="1" applyAlignment="1" applyProtection="1">
      <alignment horizontal="center"/>
      <protection hidden="1"/>
    </xf>
    <xf numFmtId="164" fontId="0" fillId="6" borderId="6" xfId="0" applyFill="1" applyBorder="1" applyAlignment="1">
      <alignment/>
    </xf>
    <xf numFmtId="167" fontId="0" fillId="6" borderId="10" xfId="0" applyNumberFormat="1" applyFill="1" applyBorder="1" applyAlignment="1" applyProtection="1">
      <alignment horizontal="center"/>
      <protection hidden="1"/>
    </xf>
    <xf numFmtId="164" fontId="13" fillId="7" borderId="5" xfId="0" applyFont="1" applyFill="1" applyBorder="1" applyAlignment="1">
      <alignment/>
    </xf>
    <xf numFmtId="164" fontId="0" fillId="7" borderId="0" xfId="0" applyFill="1" applyBorder="1" applyAlignment="1">
      <alignment/>
    </xf>
    <xf numFmtId="164" fontId="13" fillId="7" borderId="0" xfId="0" applyFont="1" applyFill="1" applyBorder="1" applyAlignment="1">
      <alignment/>
    </xf>
    <xf numFmtId="164" fontId="13" fillId="7" borderId="10" xfId="0" applyFont="1" applyFill="1" applyBorder="1" applyAlignment="1" applyProtection="1">
      <alignment horizontal="center"/>
      <protection hidden="1"/>
    </xf>
    <xf numFmtId="164" fontId="0" fillId="7" borderId="6" xfId="0" applyFill="1" applyBorder="1" applyAlignment="1">
      <alignment/>
    </xf>
    <xf numFmtId="167" fontId="13" fillId="7" borderId="10" xfId="0" applyNumberFormat="1" applyFont="1" applyFill="1" applyBorder="1" applyAlignment="1" applyProtection="1">
      <alignment horizontal="center"/>
      <protection hidden="1"/>
    </xf>
    <xf numFmtId="168" fontId="0" fillId="6" borderId="10" xfId="0" applyNumberFormat="1" applyFill="1" applyBorder="1" applyAlignment="1" applyProtection="1">
      <alignment horizontal="center"/>
      <protection hidden="1"/>
    </xf>
    <xf numFmtId="169" fontId="0" fillId="6" borderId="10" xfId="0" applyNumberFormat="1" applyFill="1" applyBorder="1" applyAlignment="1" applyProtection="1">
      <alignment horizontal="center"/>
      <protection hidden="1"/>
    </xf>
    <xf numFmtId="169" fontId="0" fillId="6" borderId="0" xfId="0" applyNumberFormat="1" applyFill="1" applyBorder="1" applyAlignment="1" applyProtection="1">
      <alignment horizontal="center"/>
      <protection hidden="1"/>
    </xf>
    <xf numFmtId="164" fontId="14" fillId="7" borderId="5" xfId="0" applyFont="1" applyFill="1" applyBorder="1" applyAlignment="1">
      <alignment/>
    </xf>
    <xf numFmtId="169" fontId="0" fillId="7" borderId="10" xfId="0" applyNumberFormat="1" applyFill="1" applyBorder="1" applyAlignment="1" applyProtection="1">
      <alignment horizontal="center"/>
      <protection hidden="1"/>
    </xf>
    <xf numFmtId="164" fontId="0" fillId="7" borderId="13" xfId="0" applyFill="1" applyBorder="1" applyAlignment="1">
      <alignment/>
    </xf>
    <xf numFmtId="164" fontId="0" fillId="2" borderId="14" xfId="0" applyFill="1" applyBorder="1" applyAlignment="1">
      <alignment/>
    </xf>
    <xf numFmtId="164" fontId="0" fillId="2" borderId="11" xfId="0" applyFill="1" applyBorder="1" applyAlignment="1">
      <alignment/>
    </xf>
    <xf numFmtId="164" fontId="0" fillId="6" borderId="7" xfId="0" applyFill="1" applyBorder="1" applyAlignment="1">
      <alignment/>
    </xf>
    <xf numFmtId="164" fontId="0" fillId="6" borderId="15" xfId="0" applyFill="1" applyBorder="1" applyAlignment="1">
      <alignment/>
    </xf>
    <xf numFmtId="164" fontId="0" fillId="6" borderId="8" xfId="0" applyFill="1" applyBorder="1" applyAlignment="1">
      <alignment/>
    </xf>
    <xf numFmtId="164" fontId="0" fillId="6" borderId="9" xfId="0" applyFill="1" applyBorder="1" applyAlignment="1">
      <alignment/>
    </xf>
    <xf numFmtId="166" fontId="0" fillId="0" borderId="0" xfId="0" applyNumberFormat="1" applyAlignment="1">
      <alignment/>
    </xf>
    <xf numFmtId="165" fontId="0" fillId="0" borderId="0" xfId="0" applyNumberFormat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Font="1" applyBorder="1" applyAlignment="1">
      <alignment horizontal="left" wrapText="1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solid">
          <fgColor rgb="FFCCCCFF"/>
          <bgColor rgb="FFC0C0C0"/>
        </patternFill>
      </fill>
      <border>
        <left style="thin">
          <color rgb="FF1A1A1A"/>
        </left>
        <right style="thin">
          <color rgb="FF00FFFF"/>
        </right>
        <top style="thin"/>
        <bottom style="thin">
          <color rgb="FF00FF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342900</xdr:colOff>
      <xdr:row>2</xdr:row>
      <xdr:rowOff>133350</xdr:rowOff>
    </xdr:from>
    <xdr:to>
      <xdr:col>16</xdr:col>
      <xdr:colOff>19050</xdr:colOff>
      <xdr:row>2</xdr:row>
      <xdr:rowOff>133350</xdr:rowOff>
    </xdr:to>
    <xdr:sp>
      <xdr:nvSpPr>
        <xdr:cNvPr id="1" name="Decline 26"/>
        <xdr:cNvSpPr>
          <a:spLocks/>
        </xdr:cNvSpPr>
      </xdr:nvSpPr>
      <xdr:spPr>
        <a:xfrm>
          <a:off x="6524625" y="352425"/>
          <a:ext cx="19050" cy="0"/>
        </a:xfrm>
        <a:prstGeom prst="line">
          <a:avLst/>
        </a:prstGeom>
        <a:noFill/>
        <a:ln w="9360" cmpd="sng">
          <a:solidFill>
            <a:srgbClr val="1A1A1A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workbookViewId="0" topLeftCell="A17">
      <selection activeCell="R46" sqref="R46"/>
    </sheetView>
  </sheetViews>
  <sheetFormatPr defaultColWidth="9.140625" defaultRowHeight="12.75"/>
  <cols>
    <col min="1" max="1" width="2.8515625" style="0" customWidth="1"/>
    <col min="4" max="4" width="10.140625" style="0" customWidth="1"/>
    <col min="6" max="6" width="7.7109375" style="0" customWidth="1"/>
    <col min="7" max="7" width="14.421875" style="0" customWidth="1"/>
    <col min="8" max="8" width="9.28125" style="0" customWidth="1"/>
    <col min="9" max="9" width="3.57421875" style="0" customWidth="1"/>
    <col min="10" max="10" width="17.28125" style="0" customWidth="1"/>
    <col min="11" max="11" width="5.140625" style="1" customWidth="1"/>
    <col min="12" max="12" width="0" style="1" hidden="1" customWidth="1"/>
    <col min="13" max="16" width="0" style="0" hidden="1" customWidth="1"/>
    <col min="17" max="17" width="7.7109375" style="0" customWidth="1"/>
  </cols>
  <sheetData>
    <row r="1" spans="3:14" ht="12.75" hidden="1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s="1" t="s">
        <v>8</v>
      </c>
      <c r="L1" s="1" t="s">
        <v>9</v>
      </c>
      <c r="M1" s="1" t="s">
        <v>10</v>
      </c>
      <c r="N1" s="1" t="s">
        <v>11</v>
      </c>
    </row>
    <row r="2" spans="2:14" ht="17.25">
      <c r="B2" s="2" t="s">
        <v>12</v>
      </c>
      <c r="N2" s="3" t="s">
        <v>13</v>
      </c>
    </row>
    <row r="3" spans="2:17" ht="15">
      <c r="B3" s="4" t="s">
        <v>14</v>
      </c>
      <c r="D3" s="5">
        <f ca="1">TODAY()</f>
        <v>40236</v>
      </c>
      <c r="H3" s="3" t="s">
        <v>15</v>
      </c>
      <c r="N3" s="3"/>
      <c r="Q3" s="6"/>
    </row>
    <row r="4" spans="2:14" ht="18">
      <c r="B4" s="2" t="s">
        <v>16</v>
      </c>
      <c r="N4" s="3"/>
    </row>
    <row r="5" spans="2:17" ht="17.25">
      <c r="B5" s="7" t="s">
        <v>17</v>
      </c>
      <c r="C5" s="8"/>
      <c r="D5" s="8"/>
      <c r="E5" s="8"/>
      <c r="F5" s="8"/>
      <c r="G5" s="8"/>
      <c r="H5" s="9"/>
      <c r="I5" s="8"/>
      <c r="J5" s="8"/>
      <c r="K5" s="10"/>
      <c r="L5" s="10"/>
      <c r="M5" s="8"/>
      <c r="N5" s="11"/>
      <c r="O5" s="8"/>
      <c r="P5" s="8"/>
      <c r="Q5" s="12"/>
    </row>
    <row r="6" spans="2:17" ht="15">
      <c r="B6" s="13"/>
      <c r="C6" s="14" t="s">
        <v>18</v>
      </c>
      <c r="D6" s="15"/>
      <c r="E6" s="15"/>
      <c r="F6" s="15"/>
      <c r="G6" s="15"/>
      <c r="H6" s="16"/>
      <c r="I6" s="15"/>
      <c r="J6" s="15"/>
      <c r="K6" s="17"/>
      <c r="L6" s="17"/>
      <c r="M6" s="15"/>
      <c r="N6" s="18"/>
      <c r="O6" s="15"/>
      <c r="P6" s="15"/>
      <c r="Q6" s="19"/>
    </row>
    <row r="7" spans="2:17" ht="15">
      <c r="B7" s="13"/>
      <c r="C7" s="18"/>
      <c r="D7" s="15"/>
      <c r="E7" s="20"/>
      <c r="F7" s="20"/>
      <c r="G7" s="15"/>
      <c r="H7" s="16"/>
      <c r="I7" s="15"/>
      <c r="J7" s="15"/>
      <c r="K7" s="17"/>
      <c r="L7" s="17"/>
      <c r="M7" s="15"/>
      <c r="N7" s="18"/>
      <c r="O7" s="15"/>
      <c r="P7" s="15"/>
      <c r="Q7" s="19"/>
    </row>
    <row r="8" spans="2:17" ht="15">
      <c r="B8" s="13" t="s">
        <v>19</v>
      </c>
      <c r="C8" s="15"/>
      <c r="D8" s="15"/>
      <c r="E8" s="15"/>
      <c r="F8" s="15"/>
      <c r="G8" s="15"/>
      <c r="H8" s="16"/>
      <c r="I8" s="15"/>
      <c r="J8" s="15"/>
      <c r="K8" s="17"/>
      <c r="L8" s="17"/>
      <c r="M8" s="15"/>
      <c r="N8" s="18"/>
      <c r="O8" s="15"/>
      <c r="P8" s="15"/>
      <c r="Q8" s="19"/>
    </row>
    <row r="9" spans="2:17" ht="17.25">
      <c r="B9" s="21"/>
      <c r="C9" s="22" t="s">
        <v>20</v>
      </c>
      <c r="D9" s="15"/>
      <c r="E9" s="15"/>
      <c r="F9" s="15"/>
      <c r="G9" s="15"/>
      <c r="H9" s="16"/>
      <c r="I9" s="15"/>
      <c r="J9" s="15"/>
      <c r="K9" s="17"/>
      <c r="L9" s="17"/>
      <c r="M9" s="15"/>
      <c r="N9" s="18"/>
      <c r="O9" s="15"/>
      <c r="P9" s="15"/>
      <c r="Q9" s="19"/>
    </row>
    <row r="10" spans="2:17" ht="12.75">
      <c r="B10" s="23"/>
      <c r="C10" s="22" t="s">
        <v>21</v>
      </c>
      <c r="D10" s="15"/>
      <c r="E10" s="15"/>
      <c r="F10" s="15"/>
      <c r="G10" s="15"/>
      <c r="H10" s="16"/>
      <c r="I10" s="15"/>
      <c r="J10" s="15"/>
      <c r="K10" s="17"/>
      <c r="L10" s="17"/>
      <c r="M10" s="15"/>
      <c r="N10" s="18"/>
      <c r="O10" s="15"/>
      <c r="P10" s="15"/>
      <c r="Q10" s="19"/>
    </row>
    <row r="11" spans="2:17" ht="17.25">
      <c r="B11" s="21"/>
      <c r="C11" s="22" t="s">
        <v>22</v>
      </c>
      <c r="D11" s="15"/>
      <c r="E11" s="15"/>
      <c r="F11" s="15"/>
      <c r="G11" s="15"/>
      <c r="H11" s="16"/>
      <c r="I11" s="15"/>
      <c r="J11" s="15"/>
      <c r="K11" s="17"/>
      <c r="L11" s="17"/>
      <c r="M11" s="15"/>
      <c r="N11" s="18"/>
      <c r="O11" s="15"/>
      <c r="P11" s="15"/>
      <c r="Q11" s="19"/>
    </row>
    <row r="12" spans="2:17" ht="17.25">
      <c r="B12" s="21"/>
      <c r="C12" s="22" t="s">
        <v>23</v>
      </c>
      <c r="D12" s="15"/>
      <c r="E12" s="15"/>
      <c r="F12" s="15"/>
      <c r="G12" s="15"/>
      <c r="H12" s="16"/>
      <c r="I12" s="15"/>
      <c r="J12" s="15"/>
      <c r="K12" s="17"/>
      <c r="L12" s="17"/>
      <c r="M12" s="15"/>
      <c r="N12" s="18"/>
      <c r="O12" s="15"/>
      <c r="P12" s="15"/>
      <c r="Q12" s="19"/>
    </row>
    <row r="13" spans="2:17" ht="17.25">
      <c r="B13" s="21"/>
      <c r="C13" s="24" t="s">
        <v>24</v>
      </c>
      <c r="D13" s="15"/>
      <c r="E13" s="15"/>
      <c r="F13" s="15"/>
      <c r="G13" s="15"/>
      <c r="H13" s="16"/>
      <c r="I13" s="15"/>
      <c r="J13" s="15"/>
      <c r="K13" s="17"/>
      <c r="L13" s="17"/>
      <c r="M13" s="15"/>
      <c r="N13" s="18"/>
      <c r="O13" s="15"/>
      <c r="P13" s="15"/>
      <c r="Q13" s="19"/>
    </row>
    <row r="14" spans="2:17" ht="17.25">
      <c r="B14" s="21"/>
      <c r="C14" s="25"/>
      <c r="D14" s="15"/>
      <c r="E14" s="15"/>
      <c r="F14" s="15"/>
      <c r="G14" s="15"/>
      <c r="H14" s="16"/>
      <c r="I14" s="15"/>
      <c r="J14" s="15"/>
      <c r="K14" s="17"/>
      <c r="L14" s="17"/>
      <c r="M14" s="15"/>
      <c r="N14" s="18"/>
      <c r="O14" s="15"/>
      <c r="P14" s="15"/>
      <c r="Q14" s="19"/>
    </row>
    <row r="15" spans="2:17" ht="18">
      <c r="B15" s="26" t="s">
        <v>25</v>
      </c>
      <c r="C15" s="27"/>
      <c r="D15" s="27"/>
      <c r="E15" s="27"/>
      <c r="F15" s="27"/>
      <c r="G15" s="27"/>
      <c r="H15" s="28"/>
      <c r="I15" s="27"/>
      <c r="J15" s="27"/>
      <c r="K15" s="28"/>
      <c r="L15" s="28"/>
      <c r="M15" s="27"/>
      <c r="N15" s="27" t="s">
        <v>26</v>
      </c>
      <c r="O15" s="27"/>
      <c r="P15" s="27"/>
      <c r="Q15" s="29"/>
    </row>
    <row r="16" spans="2:14" ht="15">
      <c r="B16" s="30"/>
      <c r="H16" s="1"/>
      <c r="N16" t="s">
        <v>27</v>
      </c>
    </row>
    <row r="17" spans="2:17" ht="18">
      <c r="B17" s="2" t="s">
        <v>28</v>
      </c>
      <c r="H17" s="31" t="s">
        <v>28</v>
      </c>
      <c r="I17" s="31"/>
      <c r="J17" s="31"/>
      <c r="K17" s="31"/>
      <c r="N17" t="s">
        <v>29</v>
      </c>
      <c r="Q17" s="2" t="s">
        <v>30</v>
      </c>
    </row>
    <row r="18" spans="1:14" ht="12.75">
      <c r="A18" s="32">
        <v>1</v>
      </c>
      <c r="B18" s="33" t="s">
        <v>31</v>
      </c>
      <c r="H18" s="34" t="s">
        <v>8</v>
      </c>
      <c r="I18" s="34"/>
      <c r="J18" s="34"/>
      <c r="K18" s="34"/>
      <c r="L18" s="1">
        <f>IF(H18="",0,VLOOKUP(H18,Sheet2!D4:E13,2))</f>
        <v>6</v>
      </c>
      <c r="N18" t="s">
        <v>32</v>
      </c>
    </row>
    <row r="19" spans="1:14" ht="13.5">
      <c r="A19" s="35">
        <f>IF(B19="","","1.1")</f>
      </c>
      <c r="B19" s="36">
        <f>IF(H18="Don't know","What is your teaching qualification?","")</f>
      </c>
      <c r="H19" s="37"/>
      <c r="I19" s="37"/>
      <c r="J19" s="37"/>
      <c r="K19" s="37"/>
      <c r="L19" s="1" t="e">
        <f>VLOOKUP(H19,Sheet2!B$16:C$21,2)</f>
        <v>#N/A</v>
      </c>
      <c r="N19" t="s">
        <v>33</v>
      </c>
    </row>
    <row r="20" spans="1:14" ht="13.5">
      <c r="A20" s="35">
        <f>IF(B20="","","1.2")</f>
      </c>
      <c r="B20" s="36">
        <f>IF(H18="Don't know","What is your highest tertiary qualification, excluding teaching qualification?","")</f>
      </c>
      <c r="E20" s="38"/>
      <c r="H20" s="39"/>
      <c r="I20" s="39"/>
      <c r="J20" s="39"/>
      <c r="K20" s="39"/>
      <c r="L20" s="1" t="e">
        <f>VLOOKUP(H20,Sheet2!$G$4:$H$18,2)</f>
        <v>#N/A</v>
      </c>
      <c r="N20" t="s">
        <v>34</v>
      </c>
    </row>
    <row r="21" spans="1:8" ht="13.5">
      <c r="A21" s="40"/>
      <c r="H21" s="1"/>
    </row>
    <row r="22" spans="1:17" ht="12.75">
      <c r="A22" s="3">
        <v>2</v>
      </c>
      <c r="B22" s="33" t="s">
        <v>35</v>
      </c>
      <c r="H22" s="34" t="s">
        <v>1</v>
      </c>
      <c r="I22" s="34"/>
      <c r="J22" s="34"/>
      <c r="K22" s="34"/>
      <c r="N22" s="3" t="s">
        <v>36</v>
      </c>
      <c r="Q22" s="6"/>
    </row>
    <row r="23" spans="1:14" ht="12.75">
      <c r="A23" s="35" t="str">
        <f>IF(B23="","","2.1")</f>
        <v>2.1</v>
      </c>
      <c r="B23" s="36" t="str">
        <f>IF(H22="YES","How many years?","")</f>
        <v>How many years?</v>
      </c>
      <c r="H23" s="37">
        <v>10</v>
      </c>
      <c r="I23" s="37"/>
      <c r="J23" s="37"/>
      <c r="K23" s="37"/>
      <c r="L23" s="1">
        <f>H23*0.5</f>
        <v>5</v>
      </c>
      <c r="N23" t="s">
        <v>37</v>
      </c>
    </row>
    <row r="24" spans="8:14" ht="13.5">
      <c r="H24" s="1"/>
      <c r="N24" t="s">
        <v>38</v>
      </c>
    </row>
    <row r="25" spans="1:14" ht="12.75">
      <c r="A25" s="3">
        <v>3</v>
      </c>
      <c r="B25" s="33" t="s">
        <v>39</v>
      </c>
      <c r="H25" s="34" t="s">
        <v>1</v>
      </c>
      <c r="I25" s="34"/>
      <c r="J25" s="34"/>
      <c r="K25" s="34"/>
      <c r="N25" t="s">
        <v>40</v>
      </c>
    </row>
    <row r="26" spans="1:14" ht="12.75">
      <c r="A26" s="35"/>
      <c r="B26" s="40"/>
      <c r="H26" s="1"/>
      <c r="N26" t="s">
        <v>41</v>
      </c>
    </row>
    <row r="27" spans="1:14" ht="12.75">
      <c r="A27" s="35" t="str">
        <f>IF(B27="","","3.1")</f>
        <v>3.1</v>
      </c>
      <c r="B27" s="36" t="str">
        <f>IF(H25="NO","Did you teach as an unregistered teacher?",IF(H25="YES","Did you teach before becoming registered or provisionally registered?",""))</f>
        <v>Did you teach before becoming registered or provisionally registered?</v>
      </c>
      <c r="H27" s="41" t="s">
        <v>0</v>
      </c>
      <c r="I27" s="41"/>
      <c r="J27" s="41"/>
      <c r="K27" s="41"/>
      <c r="N27" t="s">
        <v>42</v>
      </c>
    </row>
    <row r="28" spans="1:17" ht="12.75">
      <c r="A28" s="35">
        <f>IF(B28="","","3.2")</f>
      </c>
      <c r="B28" s="36">
        <f>IF(H27="NO","",IF(H27="","","How many years pre-registration teaching?"))</f>
      </c>
      <c r="H28" s="37"/>
      <c r="I28" s="37"/>
      <c r="J28" s="37"/>
      <c r="K28" s="37"/>
      <c r="N28" t="s">
        <v>43</v>
      </c>
      <c r="Q28" s="6"/>
    </row>
    <row r="29" spans="1:14" ht="12.75">
      <c r="A29" s="35"/>
      <c r="B29" s="40"/>
      <c r="H29" s="17"/>
      <c r="L29" s="1">
        <f>H28*0.5</f>
        <v>0</v>
      </c>
      <c r="N29" t="s">
        <v>44</v>
      </c>
    </row>
    <row r="30" spans="1:14" ht="12.75">
      <c r="A30" s="35" t="str">
        <f>IF(B30="","","3.3")</f>
        <v>3.3</v>
      </c>
      <c r="B30" s="36" t="str">
        <f>IF(H25="YES","Have you taught since becoming registered or provisionally registered?","")</f>
        <v>Have you taught since becoming registered or provisionally registered?</v>
      </c>
      <c r="H30" s="41" t="s">
        <v>0</v>
      </c>
      <c r="I30" s="41"/>
      <c r="J30" s="41"/>
      <c r="K30" s="41"/>
      <c r="N30" t="s">
        <v>45</v>
      </c>
    </row>
    <row r="31" spans="1:17" ht="13.5">
      <c r="A31" s="35">
        <f>IF(B31="","","3.4")</f>
      </c>
      <c r="B31" s="36">
        <f>IF(H30="YES","How many years teaching experience do you have?","")</f>
      </c>
      <c r="H31" s="39"/>
      <c r="I31" s="39"/>
      <c r="J31" s="39"/>
      <c r="K31" s="39"/>
      <c r="N31" t="s">
        <v>46</v>
      </c>
      <c r="Q31" s="6"/>
    </row>
    <row r="32" spans="1:14" ht="12.75">
      <c r="A32" s="35"/>
      <c r="B32" s="40"/>
      <c r="H32" s="1"/>
      <c r="L32" s="1">
        <f>H31*1</f>
        <v>0</v>
      </c>
      <c r="N32" t="s">
        <v>47</v>
      </c>
    </row>
    <row r="33" spans="1:14" ht="12.75">
      <c r="A33" s="35" t="str">
        <f>IF(B33="","","3.5")</f>
        <v>3.5</v>
      </c>
      <c r="B33" s="42" t="str">
        <f>IF(H25="YES","Have you taken leave, or resigned, from teaching to care for your children?","")</f>
        <v>Have you taken leave, or resigned, from teaching to care for your children?</v>
      </c>
      <c r="H33" s="41" t="s">
        <v>0</v>
      </c>
      <c r="I33" s="41"/>
      <c r="J33" s="41"/>
      <c r="K33" s="41"/>
      <c r="N33" t="s">
        <v>48</v>
      </c>
    </row>
    <row r="34" spans="1:17" ht="12.75">
      <c r="A34" s="35">
        <f>IF(B34="","","3.6")</f>
      </c>
      <c r="B34" s="42">
        <f>IF(H33="YES","How many years were you caring for your children?","")</f>
      </c>
      <c r="H34" s="39"/>
      <c r="I34" s="39"/>
      <c r="J34" s="39"/>
      <c r="K34" s="39"/>
      <c r="N34" t="s">
        <v>49</v>
      </c>
      <c r="Q34" s="6"/>
    </row>
    <row r="35" spans="1:14" ht="12.75">
      <c r="A35" s="35"/>
      <c r="C35" s="38"/>
      <c r="H35" s="1"/>
      <c r="L35" s="1">
        <f>H34/3</f>
        <v>0</v>
      </c>
      <c r="N35" t="s">
        <v>50</v>
      </c>
    </row>
    <row r="36" spans="1:17" ht="12.75">
      <c r="A36" s="3">
        <v>4</v>
      </c>
      <c r="B36" s="33" t="s">
        <v>51</v>
      </c>
      <c r="H36" s="34" t="s">
        <v>1</v>
      </c>
      <c r="I36" s="34"/>
      <c r="J36" s="34"/>
      <c r="K36" s="34"/>
      <c r="N36" t="s">
        <v>52</v>
      </c>
      <c r="Q36" s="6"/>
    </row>
    <row r="37" spans="1:17" ht="12.75">
      <c r="A37" s="35">
        <f>IF(B37="","","4.1")</f>
      </c>
      <c r="B37" s="42">
        <f>IF(H36="NO","For how many hours are you employed each week?","")</f>
      </c>
      <c r="H37" s="37"/>
      <c r="I37" s="37"/>
      <c r="J37" s="37"/>
      <c r="K37" s="37"/>
      <c r="Q37" s="6"/>
    </row>
    <row r="38" ht="12.75">
      <c r="N38" t="s">
        <v>53</v>
      </c>
    </row>
    <row r="39" ht="12.75">
      <c r="N39" s="43">
        <f>IF(L18=0,VLOOKUP((L19+L20),Sheet2!$N$10:$P$37,2),VLOOKUP(H18,Sheet2!$D$4:$E$13,2))</f>
        <v>6</v>
      </c>
    </row>
    <row r="40" ht="12.75">
      <c r="K40" s="17"/>
    </row>
    <row r="41" spans="3:11" ht="21" customHeight="1">
      <c r="C41" s="44" t="s">
        <v>54</v>
      </c>
      <c r="D41" s="45"/>
      <c r="E41" s="46"/>
      <c r="F41" s="47"/>
      <c r="G41" s="47"/>
      <c r="H41" s="47"/>
      <c r="I41" s="47"/>
      <c r="J41" s="47"/>
      <c r="K41" s="48"/>
    </row>
    <row r="42" spans="3:11" ht="17.25" customHeight="1">
      <c r="C42" s="49" t="s">
        <v>55</v>
      </c>
      <c r="D42" s="50"/>
      <c r="E42" s="50"/>
      <c r="F42" s="50"/>
      <c r="G42" s="50"/>
      <c r="H42" s="50"/>
      <c r="I42" s="50"/>
      <c r="J42" s="51">
        <f>IF(J46=0,0,IF(ROUNDDOWN(N39+L23+L29+L32+L35,0)&gt;J44,J44,ROUNDDOWN(N39+L23+L29+L32+L35,0)))</f>
        <v>11</v>
      </c>
      <c r="K42" s="52"/>
    </row>
    <row r="43" spans="3:11" ht="17.25" customHeight="1">
      <c r="C43" s="49" t="s">
        <v>56</v>
      </c>
      <c r="D43" s="50"/>
      <c r="E43" s="50"/>
      <c r="F43" s="50"/>
      <c r="G43" s="50"/>
      <c r="H43" s="50"/>
      <c r="I43" s="50"/>
      <c r="J43" s="53">
        <f>IF(J46=0,0,VLOOKUP(J42,Sheet2!E$21:F$34,2))</f>
        <v>55812</v>
      </c>
      <c r="K43" s="52"/>
    </row>
    <row r="44" spans="3:11" ht="17.25" customHeight="1">
      <c r="C44" s="54" t="s">
        <v>57</v>
      </c>
      <c r="D44" s="55"/>
      <c r="E44" s="56"/>
      <c r="F44" s="56"/>
      <c r="G44" s="56"/>
      <c r="H44" s="56"/>
      <c r="I44" s="56"/>
      <c r="J44" s="57">
        <f>IF(J46=0,0,IF(L18=0,VLOOKUP(($L$19+$L$20),Sheet2!$N$10:$P$30,3),VLOOKUP(H18,Sheet2!$D$4:$F$13,3)))</f>
        <v>13</v>
      </c>
      <c r="K44" s="58"/>
    </row>
    <row r="45" spans="3:11" ht="17.25" customHeight="1">
      <c r="C45" s="54" t="s">
        <v>56</v>
      </c>
      <c r="D45" s="55"/>
      <c r="E45" s="56"/>
      <c r="F45" s="56"/>
      <c r="G45" s="56"/>
      <c r="H45" s="56"/>
      <c r="I45" s="56"/>
      <c r="J45" s="59">
        <f>IF(J46=0,0,VLOOKUP(J44,Sheet2!$E$21:$F$34,2))</f>
        <v>63086</v>
      </c>
      <c r="K45" s="58"/>
    </row>
    <row r="46" spans="3:11" ht="17.25" customHeight="1">
      <c r="C46" s="49" t="s">
        <v>58</v>
      </c>
      <c r="D46" s="50"/>
      <c r="E46" s="50"/>
      <c r="F46" s="50"/>
      <c r="G46" s="50"/>
      <c r="H46" s="50"/>
      <c r="I46" s="50"/>
      <c r="J46" s="51">
        <f>IF(H36="YES",1,H37/25)</f>
        <v>1</v>
      </c>
      <c r="K46" s="52"/>
    </row>
    <row r="47" spans="3:11" ht="17.25" customHeight="1">
      <c r="C47" s="49" t="s">
        <v>59</v>
      </c>
      <c r="D47" s="50"/>
      <c r="E47" s="50"/>
      <c r="F47" s="50"/>
      <c r="G47" s="50"/>
      <c r="H47" s="50"/>
      <c r="I47" s="50"/>
      <c r="J47" s="60" t="str">
        <f>IF(H36="YES","100%",H37/22.5)</f>
        <v>100%</v>
      </c>
      <c r="K47" s="52"/>
    </row>
    <row r="48" spans="3:11" ht="18" customHeight="1">
      <c r="C48" s="49" t="s">
        <v>60</v>
      </c>
      <c r="D48" s="50"/>
      <c r="E48" s="50"/>
      <c r="F48" s="50"/>
      <c r="G48" s="50"/>
      <c r="H48" s="50"/>
      <c r="I48" s="50"/>
      <c r="J48" s="53">
        <f>IF(J46=0,0,J43*J47)</f>
        <v>55812</v>
      </c>
      <c r="K48" s="52"/>
    </row>
    <row r="49" spans="3:11" ht="17.25" customHeight="1">
      <c r="C49" s="49" t="s">
        <v>61</v>
      </c>
      <c r="D49" s="50"/>
      <c r="E49" s="50"/>
      <c r="F49" s="50"/>
      <c r="G49" s="50"/>
      <c r="H49" s="50"/>
      <c r="I49" s="50"/>
      <c r="J49" s="61">
        <f>IF(J48=0,0,J48*14/365)</f>
        <v>2140.7342465753422</v>
      </c>
      <c r="K49" s="52"/>
    </row>
    <row r="50" spans="3:11" ht="17.25" customHeight="1">
      <c r="C50" s="49"/>
      <c r="D50" s="50"/>
      <c r="E50" s="50"/>
      <c r="F50" s="50"/>
      <c r="G50" s="50"/>
      <c r="H50" s="50"/>
      <c r="I50" s="50"/>
      <c r="J50" s="62"/>
      <c r="K50" s="52"/>
    </row>
    <row r="51" spans="3:17" ht="13.5">
      <c r="C51" s="63" t="s">
        <v>62</v>
      </c>
      <c r="D51" s="55"/>
      <c r="E51" s="55"/>
      <c r="F51" s="55"/>
      <c r="G51" s="55"/>
      <c r="H51" s="55"/>
      <c r="I51" s="55"/>
      <c r="J51" s="64">
        <f>IF(J42&gt;10,Sheet2!F30/950,J48/950)</f>
        <v>54.78947368421053</v>
      </c>
      <c r="K51" s="65"/>
      <c r="Q51" s="66"/>
    </row>
    <row r="52" spans="3:17" ht="13.5">
      <c r="C52" s="63" t="s">
        <v>63</v>
      </c>
      <c r="D52" s="55"/>
      <c r="E52" s="55"/>
      <c r="F52" s="55"/>
      <c r="G52" s="55"/>
      <c r="H52" s="55"/>
      <c r="I52" s="55"/>
      <c r="J52" s="64">
        <f>IF(J42&gt;10,Sheet2!F30/190,J48/190)</f>
        <v>273.94736842105266</v>
      </c>
      <c r="K52" s="65"/>
      <c r="Q52" s="67"/>
    </row>
    <row r="53" spans="3:11" ht="13.5">
      <c r="C53" s="68"/>
      <c r="D53" s="69"/>
      <c r="E53" s="70"/>
      <c r="F53" s="70"/>
      <c r="G53" s="70"/>
      <c r="H53" s="70"/>
      <c r="I53" s="70"/>
      <c r="J53" s="70"/>
      <c r="K53" s="71"/>
    </row>
  </sheetData>
  <sheetProtection selectLockedCells="1" selectUnlockedCells="1"/>
  <mergeCells count="15">
    <mergeCell ref="H17:K17"/>
    <mergeCell ref="H18:K18"/>
    <mergeCell ref="H19:K19"/>
    <mergeCell ref="H20:K20"/>
    <mergeCell ref="H22:K22"/>
    <mergeCell ref="H23:K23"/>
    <mergeCell ref="H25:K25"/>
    <mergeCell ref="H27:K27"/>
    <mergeCell ref="H28:K28"/>
    <mergeCell ref="H30:K30"/>
    <mergeCell ref="H31:K31"/>
    <mergeCell ref="H33:K33"/>
    <mergeCell ref="H34:K34"/>
    <mergeCell ref="H36:K36"/>
    <mergeCell ref="H37:K37"/>
  </mergeCells>
  <conditionalFormatting sqref="H19">
    <cfRule type="expression" priority="1" dxfId="0" stopIfTrue="1">
      <formula>"$A$4=1.1"</formula>
    </cfRule>
  </conditionalFormatting>
  <dataValidations count="13">
    <dataValidation allowBlank="1" showInputMessage="1" showErrorMessage="1" prompt="The calculator is for standard situations.  Your PPTA Field Officer can give advice if:&#10;your history is not covered by the questions or choices  provided; you worked as a non-permanent part time teacher; or &#10;the summary suggests you are paid incorrectly." sqref="Q3">
      <formula1>0</formula1>
      <formula2>0</formula2>
    </dataValidation>
    <dataValidation allowBlank="1" showInputMessage="1" showErrorMessage="1" prompt="Day relievres are paid at a maximum of step 10.  Minimum payment is for 2 hours per day of relief.  If there is a break in duties of one and a half  hours or more, an allowance of one hour is also payable." sqref="Q51">
      <formula1>0</formula1>
      <formula2>0</formula2>
    </dataValidation>
    <dataValidation allowBlank="1" showInputMessage="1" showErrorMessage="1" prompt="A short term reliever is employed for six weeks or less and is paid at a maximum of step 10.  After 6 weeks continuous employment you revert to your normal salary rate and will be eligible for back pay." sqref="Q52">
      <formula1>0</formula1>
      <formula2>0</formula2>
    </dataValidation>
    <dataValidation type="list" allowBlank="1" showErrorMessage="1" sqref="H22 H25 H36">
      <formula1>$C$1:$D$1</formula1>
      <formula2>0</formula2>
    </dataValidation>
    <dataValidation type="list" allowBlank="1" showErrorMessage="1" sqref="H33">
      <formula1>$C$1:$D$1</formula1>
      <formula2>0</formula2>
    </dataValidation>
    <dataValidation type="list" allowBlank="1" showErrorMessage="1" prompt="&#10;" sqref="H27 H30">
      <formula1>$C$1:$D$1</formula1>
      <formula2>0</formula2>
    </dataValidation>
    <dataValidation allowBlank="1" showInputMessage="1" showErrorMessage="1" prompt="Work experience directly relevant to the teacher’s curriculum and/or pastoral duties, counted from completion of a recognised and appropriate vocational qualification" sqref="Q22">
      <formula1>0</formula1>
      <formula2>0</formula2>
    </dataValidation>
    <dataValidation allowBlank="1" showInputMessage="1" showErrorMessage="1" prompt="As well as service in state and integrated schools, count service in: &#10;College of Education; Polytech; Tech institute; University; Kindergarten; Registered NZ private school; and Overseas teaching, (if  school was subject to state inspection)." sqref="Q28 Q31">
      <formula1>0</formula1>
      <formula2>0</formula2>
    </dataValidation>
    <dataValidation allowBlank="1" showInputMessage="1" showErrorMessage="1" prompt="Must be leave to care for your own children and you must have been fully registered (or in List B) when taking leave." sqref="Q34">
      <formula1>0</formula1>
      <formula2>0</formula2>
    </dataValidation>
    <dataValidation type="decimal" allowBlank="1" showErrorMessage="1" error="From 2004 part time teachers are employed for fewer than 21 hours." sqref="H37:K37">
      <formula1>0.01</formula1>
      <formula2>20.99</formula2>
    </dataValidation>
    <dataValidation type="list" allowBlank="1" showErrorMessage="1" sqref="H19:K19">
      <formula1>$N$15:$N$20</formula1>
      <formula2>0</formula2>
    </dataValidation>
    <dataValidation type="list" allowBlank="1" showErrorMessage="1" sqref="H18:K18">
      <formula1>$E$1:$N$1</formula1>
      <formula2>0</formula2>
    </dataValidation>
    <dataValidation type="list" allowBlank="1" showErrorMessage="1" sqref="H20:K20">
      <formula1>$N$23:$N$36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P38"/>
  <sheetViews>
    <sheetView workbookViewId="0" topLeftCell="B5">
      <selection activeCell="G22" sqref="G22"/>
    </sheetView>
  </sheetViews>
  <sheetFormatPr defaultColWidth="9.140625" defaultRowHeight="12.75"/>
  <cols>
    <col min="4" max="4" width="15.28125" style="0" customWidth="1"/>
    <col min="7" max="7" width="29.7109375" style="0" customWidth="1"/>
    <col min="8" max="8" width="10.140625" style="0" customWidth="1"/>
  </cols>
  <sheetData>
    <row r="3" spans="4:9" ht="12.75">
      <c r="D3" s="3" t="s">
        <v>64</v>
      </c>
      <c r="E3" t="s">
        <v>65</v>
      </c>
      <c r="F3" t="s">
        <v>66</v>
      </c>
      <c r="G3" s="3" t="s">
        <v>67</v>
      </c>
      <c r="H3" t="s">
        <v>68</v>
      </c>
      <c r="I3" t="s">
        <v>69</v>
      </c>
    </row>
    <row r="4" spans="4:9" ht="12.75">
      <c r="D4" t="s">
        <v>2</v>
      </c>
      <c r="E4">
        <v>0</v>
      </c>
      <c r="F4">
        <v>10</v>
      </c>
      <c r="G4" t="s">
        <v>48</v>
      </c>
      <c r="H4">
        <v>3</v>
      </c>
      <c r="I4">
        <v>3</v>
      </c>
    </row>
    <row r="5" spans="4:9" ht="12.75">
      <c r="D5" t="s">
        <v>4</v>
      </c>
      <c r="E5">
        <v>3</v>
      </c>
      <c r="F5">
        <v>10</v>
      </c>
      <c r="G5" t="s">
        <v>50</v>
      </c>
      <c r="H5">
        <v>1</v>
      </c>
      <c r="I5">
        <v>1</v>
      </c>
    </row>
    <row r="6" spans="4:9" ht="12.75">
      <c r="D6" t="s">
        <v>5</v>
      </c>
      <c r="E6">
        <v>4</v>
      </c>
      <c r="F6">
        <v>11</v>
      </c>
      <c r="G6" t="s">
        <v>49</v>
      </c>
      <c r="H6">
        <v>2</v>
      </c>
      <c r="I6">
        <v>2</v>
      </c>
    </row>
    <row r="7" spans="4:13" ht="12.75">
      <c r="D7" t="s">
        <v>6</v>
      </c>
      <c r="E7">
        <v>6</v>
      </c>
      <c r="F7">
        <v>13</v>
      </c>
      <c r="G7" t="s">
        <v>44</v>
      </c>
      <c r="H7">
        <v>4</v>
      </c>
      <c r="I7" t="s">
        <v>70</v>
      </c>
      <c r="M7" s="3" t="s">
        <v>71</v>
      </c>
    </row>
    <row r="8" spans="4:9" ht="12.75">
      <c r="D8" t="s">
        <v>7</v>
      </c>
      <c r="E8">
        <v>7</v>
      </c>
      <c r="F8">
        <v>14</v>
      </c>
      <c r="G8" t="s">
        <v>42</v>
      </c>
      <c r="H8">
        <v>5</v>
      </c>
      <c r="I8">
        <v>4</v>
      </c>
    </row>
    <row r="9" spans="4:16" ht="12.75">
      <c r="D9" t="s">
        <v>8</v>
      </c>
      <c r="E9">
        <v>6</v>
      </c>
      <c r="F9">
        <v>13</v>
      </c>
      <c r="G9" t="s">
        <v>38</v>
      </c>
      <c r="H9">
        <v>6</v>
      </c>
      <c r="I9" t="s">
        <v>70</v>
      </c>
      <c r="N9" t="s">
        <v>68</v>
      </c>
      <c r="O9" t="s">
        <v>72</v>
      </c>
      <c r="P9" t="s">
        <v>73</v>
      </c>
    </row>
    <row r="10" spans="4:16" ht="12.75">
      <c r="D10" t="s">
        <v>9</v>
      </c>
      <c r="E10">
        <v>8</v>
      </c>
      <c r="F10">
        <v>14</v>
      </c>
      <c r="G10" t="s">
        <v>40</v>
      </c>
      <c r="H10">
        <v>6</v>
      </c>
      <c r="I10">
        <v>5</v>
      </c>
      <c r="M10" t="s">
        <v>74</v>
      </c>
      <c r="N10">
        <v>10</v>
      </c>
      <c r="O10">
        <v>1</v>
      </c>
      <c r="P10">
        <v>4</v>
      </c>
    </row>
    <row r="11" spans="4:16" ht="12.75">
      <c r="D11" t="s">
        <v>10</v>
      </c>
      <c r="E11">
        <v>7</v>
      </c>
      <c r="F11">
        <v>13</v>
      </c>
      <c r="G11" t="s">
        <v>47</v>
      </c>
      <c r="H11">
        <v>3</v>
      </c>
      <c r="I11">
        <v>3</v>
      </c>
      <c r="M11" t="s">
        <v>75</v>
      </c>
      <c r="N11">
        <v>11</v>
      </c>
      <c r="O11">
        <v>3</v>
      </c>
      <c r="P11">
        <v>10</v>
      </c>
    </row>
    <row r="12" spans="4:16" ht="12.75">
      <c r="D12" t="s">
        <v>11</v>
      </c>
      <c r="E12">
        <v>9</v>
      </c>
      <c r="F12">
        <v>14</v>
      </c>
      <c r="G12" t="s">
        <v>76</v>
      </c>
      <c r="H12">
        <v>0</v>
      </c>
      <c r="I12">
        <v>1</v>
      </c>
      <c r="M12" t="s">
        <v>77</v>
      </c>
      <c r="N12">
        <v>12</v>
      </c>
      <c r="O12">
        <v>2</v>
      </c>
      <c r="P12">
        <v>11</v>
      </c>
    </row>
    <row r="13" spans="4:16" ht="12.75">
      <c r="D13" t="s">
        <v>3</v>
      </c>
      <c r="E13">
        <v>1</v>
      </c>
      <c r="F13">
        <v>4</v>
      </c>
      <c r="G13" t="s">
        <v>37</v>
      </c>
      <c r="H13">
        <v>6</v>
      </c>
      <c r="I13">
        <v>5</v>
      </c>
      <c r="M13" t="s">
        <v>78</v>
      </c>
      <c r="N13">
        <v>13</v>
      </c>
      <c r="O13">
        <v>4</v>
      </c>
      <c r="P13">
        <v>13</v>
      </c>
    </row>
    <row r="14" spans="7:16" ht="12.75">
      <c r="G14" t="s">
        <v>43</v>
      </c>
      <c r="H14">
        <v>4</v>
      </c>
      <c r="I14" t="s">
        <v>70</v>
      </c>
      <c r="M14" t="s">
        <v>79</v>
      </c>
      <c r="N14">
        <v>14</v>
      </c>
      <c r="O14">
        <v>5</v>
      </c>
      <c r="P14">
        <v>13</v>
      </c>
    </row>
    <row r="15" spans="2:16" ht="12.75">
      <c r="B15" s="3" t="s">
        <v>80</v>
      </c>
      <c r="G15" t="s">
        <v>41</v>
      </c>
      <c r="H15">
        <v>5</v>
      </c>
      <c r="I15">
        <v>4</v>
      </c>
      <c r="M15" t="s">
        <v>81</v>
      </c>
      <c r="N15">
        <v>15</v>
      </c>
      <c r="O15">
        <v>6</v>
      </c>
      <c r="P15">
        <v>13</v>
      </c>
    </row>
    <row r="16" spans="2:16" ht="12.75">
      <c r="B16" t="s">
        <v>29</v>
      </c>
      <c r="C16">
        <v>30</v>
      </c>
      <c r="G16" t="s">
        <v>45</v>
      </c>
      <c r="H16">
        <v>4</v>
      </c>
      <c r="I16" t="s">
        <v>70</v>
      </c>
      <c r="M16" t="s">
        <v>82</v>
      </c>
      <c r="N16">
        <v>16</v>
      </c>
      <c r="O16">
        <v>7</v>
      </c>
      <c r="P16">
        <v>13</v>
      </c>
    </row>
    <row r="17" spans="2:16" ht="12.75">
      <c r="B17" t="s">
        <v>27</v>
      </c>
      <c r="C17">
        <v>40</v>
      </c>
      <c r="G17" t="s">
        <v>46</v>
      </c>
      <c r="H17">
        <v>3</v>
      </c>
      <c r="I17">
        <v>3</v>
      </c>
      <c r="M17" t="s">
        <v>83</v>
      </c>
      <c r="N17">
        <v>21</v>
      </c>
      <c r="O17">
        <v>3</v>
      </c>
      <c r="P17">
        <v>10</v>
      </c>
    </row>
    <row r="18" spans="2:16" ht="12.75">
      <c r="B18" t="s">
        <v>32</v>
      </c>
      <c r="C18">
        <v>20</v>
      </c>
      <c r="G18" t="s">
        <v>84</v>
      </c>
      <c r="H18">
        <v>2</v>
      </c>
      <c r="I18">
        <v>2</v>
      </c>
      <c r="J18" s="3"/>
      <c r="K18" s="3"/>
      <c r="M18" t="s">
        <v>85</v>
      </c>
      <c r="N18">
        <v>22</v>
      </c>
      <c r="O18">
        <v>4</v>
      </c>
      <c r="P18">
        <v>11</v>
      </c>
    </row>
    <row r="19" spans="2:16" ht="12.75">
      <c r="B19" t="s">
        <v>26</v>
      </c>
      <c r="C19">
        <v>50</v>
      </c>
      <c r="D19" s="1"/>
      <c r="M19" t="s">
        <v>86</v>
      </c>
      <c r="N19">
        <v>23</v>
      </c>
      <c r="O19">
        <v>6</v>
      </c>
      <c r="P19">
        <v>13</v>
      </c>
    </row>
    <row r="20" spans="2:16" ht="12.75">
      <c r="B20" t="s">
        <v>34</v>
      </c>
      <c r="C20">
        <v>10</v>
      </c>
      <c r="E20" s="3" t="s">
        <v>87</v>
      </c>
      <c r="G20" s="72"/>
      <c r="H20" s="73"/>
      <c r="I20" s="73">
        <v>39995</v>
      </c>
      <c r="K20" s="74"/>
      <c r="M20" t="s">
        <v>88</v>
      </c>
      <c r="N20">
        <v>24</v>
      </c>
      <c r="O20">
        <v>7</v>
      </c>
      <c r="P20">
        <v>14</v>
      </c>
    </row>
    <row r="21" spans="2:16" ht="12.75">
      <c r="B21" t="s">
        <v>33</v>
      </c>
      <c r="C21">
        <v>20</v>
      </c>
      <c r="E21">
        <v>1</v>
      </c>
      <c r="F21" s="75">
        <f>IF('Estimated salary'!D3&lt;Sheet2!I20,Sheet2!H21,Sheet2!I21)</f>
        <v>30000</v>
      </c>
      <c r="H21" s="75">
        <v>28846</v>
      </c>
      <c r="I21" s="72">
        <v>30000</v>
      </c>
      <c r="M21" t="s">
        <v>89</v>
      </c>
      <c r="N21">
        <v>25</v>
      </c>
      <c r="O21">
        <v>8</v>
      </c>
      <c r="P21">
        <v>14</v>
      </c>
    </row>
    <row r="22" spans="4:16" ht="12.75">
      <c r="D22" s="1"/>
      <c r="E22">
        <v>2</v>
      </c>
      <c r="F22" s="75">
        <f>IF('Estimated salary'!D4&lt;Sheet2!H21,Sheet2!H22,Sheet2!I22)</f>
        <v>30101</v>
      </c>
      <c r="H22" s="75">
        <v>30101</v>
      </c>
      <c r="I22" s="72">
        <v>31305</v>
      </c>
      <c r="M22" t="s">
        <v>90</v>
      </c>
      <c r="N22">
        <v>26</v>
      </c>
      <c r="O22">
        <v>9</v>
      </c>
      <c r="P22">
        <v>14</v>
      </c>
    </row>
    <row r="23" spans="4:16" ht="12.75">
      <c r="D23" s="1"/>
      <c r="E23">
        <v>3</v>
      </c>
      <c r="F23" s="75">
        <f>IF('Estimated salary'!D5&lt;Sheet2!H22,Sheet2!H23,Sheet2!I23)</f>
        <v>32610</v>
      </c>
      <c r="H23" s="75">
        <v>32610</v>
      </c>
      <c r="I23" s="72">
        <v>33914</v>
      </c>
      <c r="M23" t="s">
        <v>91</v>
      </c>
      <c r="N23">
        <v>30</v>
      </c>
      <c r="O23">
        <v>6</v>
      </c>
      <c r="P23">
        <v>13</v>
      </c>
    </row>
    <row r="24" spans="4:16" ht="12.75">
      <c r="D24" s="1"/>
      <c r="E24">
        <v>4</v>
      </c>
      <c r="F24" s="75">
        <f>IF('Estimated salary'!D6&lt;Sheet2!H23,Sheet2!H24,Sheet2!I24)</f>
        <v>35118</v>
      </c>
      <c r="H24" s="75">
        <v>35118</v>
      </c>
      <c r="I24" s="72">
        <v>36523</v>
      </c>
      <c r="M24" t="s">
        <v>92</v>
      </c>
      <c r="N24">
        <v>34</v>
      </c>
      <c r="O24">
        <v>7</v>
      </c>
      <c r="P24">
        <v>14</v>
      </c>
    </row>
    <row r="25" spans="4:16" ht="12.75">
      <c r="D25" s="1"/>
      <c r="E25">
        <v>5</v>
      </c>
      <c r="F25" s="75">
        <f>IF('Estimated salary'!D7&lt;Sheet2!H24,Sheet2!H25,Sheet2!I25)</f>
        <v>38879</v>
      </c>
      <c r="H25" s="75">
        <v>38879</v>
      </c>
      <c r="I25" s="72">
        <v>40434</v>
      </c>
      <c r="M25" t="s">
        <v>93</v>
      </c>
      <c r="N25">
        <v>35</v>
      </c>
      <c r="O25">
        <v>8</v>
      </c>
      <c r="P25">
        <v>14</v>
      </c>
    </row>
    <row r="26" spans="4:16" ht="12.75">
      <c r="D26" s="1"/>
      <c r="E26">
        <v>6</v>
      </c>
      <c r="F26" s="75">
        <f>IF('Estimated salary'!D8&lt;Sheet2!H25,Sheet2!H26,Sheet2!I26)</f>
        <v>42642</v>
      </c>
      <c r="H26" s="75">
        <v>42642</v>
      </c>
      <c r="I26" s="72">
        <v>44348</v>
      </c>
      <c r="M26" t="s">
        <v>94</v>
      </c>
      <c r="N26">
        <v>36</v>
      </c>
      <c r="O26">
        <v>9</v>
      </c>
      <c r="P26">
        <v>14</v>
      </c>
    </row>
    <row r="27" spans="4:16" ht="12.75">
      <c r="D27" s="1"/>
      <c r="E27">
        <v>7</v>
      </c>
      <c r="F27" s="75">
        <f>IF('Estimated salary'!D9&lt;Sheet2!H26,Sheet2!H27,Sheet2!I27)</f>
        <v>43897</v>
      </c>
      <c r="H27" s="75">
        <v>43897</v>
      </c>
      <c r="I27" s="72">
        <v>45653</v>
      </c>
      <c r="M27" t="s">
        <v>95</v>
      </c>
      <c r="N27">
        <v>40</v>
      </c>
      <c r="O27">
        <v>7</v>
      </c>
      <c r="P27">
        <v>14</v>
      </c>
    </row>
    <row r="28" spans="5:16" ht="12.75">
      <c r="E28">
        <v>8</v>
      </c>
      <c r="F28" s="75">
        <f>IF('Estimated salary'!D10&lt;Sheet2!H27,Sheet2!H28,Sheet2!I28)</f>
        <v>45779</v>
      </c>
      <c r="H28" s="75">
        <v>45779</v>
      </c>
      <c r="I28" s="72">
        <v>47610</v>
      </c>
      <c r="M28" t="s">
        <v>96</v>
      </c>
      <c r="N28">
        <v>44</v>
      </c>
      <c r="O28">
        <v>7</v>
      </c>
      <c r="P28">
        <v>14</v>
      </c>
    </row>
    <row r="29" spans="5:16" ht="12.75">
      <c r="E29">
        <v>9</v>
      </c>
      <c r="F29" s="75">
        <f>IF('Estimated salary'!D11&lt;Sheet2!H28,Sheet2!H29,Sheet2!I29)</f>
        <v>48286</v>
      </c>
      <c r="H29" s="75">
        <v>48286</v>
      </c>
      <c r="I29" s="72">
        <v>50217</v>
      </c>
      <c r="M29" t="s">
        <v>97</v>
      </c>
      <c r="N29">
        <v>45</v>
      </c>
      <c r="O29">
        <v>8</v>
      </c>
      <c r="P29">
        <v>14</v>
      </c>
    </row>
    <row r="30" spans="5:16" ht="12.75">
      <c r="E30">
        <v>10</v>
      </c>
      <c r="F30" s="75">
        <f>IF('Estimated salary'!D12&lt;Sheet2!H29,Sheet2!H30,Sheet2!I30)</f>
        <v>52050</v>
      </c>
      <c r="H30" s="75">
        <v>52050</v>
      </c>
      <c r="I30" s="72">
        <v>54132</v>
      </c>
      <c r="M30" t="s">
        <v>98</v>
      </c>
      <c r="N30">
        <v>46</v>
      </c>
      <c r="O30">
        <v>9</v>
      </c>
      <c r="P30">
        <v>14</v>
      </c>
    </row>
    <row r="31" spans="5:16" ht="12.75">
      <c r="E31">
        <v>11</v>
      </c>
      <c r="F31" s="75">
        <f>IF('Estimated salary'!D13&lt;Sheet2!H30,Sheet2!H31,Sheet2!I31)</f>
        <v>55812</v>
      </c>
      <c r="H31" s="75">
        <v>55812</v>
      </c>
      <c r="I31" s="72">
        <v>58044</v>
      </c>
      <c r="M31" t="s">
        <v>99</v>
      </c>
      <c r="N31">
        <v>50</v>
      </c>
      <c r="O31">
        <v>9</v>
      </c>
      <c r="P31">
        <v>14</v>
      </c>
    </row>
    <row r="32" spans="5:16" ht="12.75">
      <c r="E32">
        <v>12</v>
      </c>
      <c r="F32" s="75">
        <f>IF('Estimated salary'!D14&lt;Sheet2!H31,Sheet2!H32,Sheet2!I32)</f>
        <v>60954</v>
      </c>
      <c r="H32" s="75">
        <v>60954</v>
      </c>
      <c r="I32" s="72">
        <v>63392</v>
      </c>
      <c r="M32" t="s">
        <v>100</v>
      </c>
      <c r="N32">
        <v>51</v>
      </c>
      <c r="O32">
        <v>9</v>
      </c>
      <c r="P32">
        <v>14</v>
      </c>
    </row>
    <row r="33" spans="5:16" ht="12.75">
      <c r="E33">
        <v>13</v>
      </c>
      <c r="F33" s="75">
        <f>IF('Estimated salary'!D15&lt;Sheet2!H32,Sheet2!H33,Sheet2!I33)</f>
        <v>63086</v>
      </c>
      <c r="H33" s="75">
        <v>63086</v>
      </c>
      <c r="I33" s="72">
        <v>65609</v>
      </c>
      <c r="M33" t="s">
        <v>101</v>
      </c>
      <c r="N33">
        <v>52</v>
      </c>
      <c r="O33">
        <v>9</v>
      </c>
      <c r="P33">
        <v>14</v>
      </c>
    </row>
    <row r="34" spans="5:16" ht="12.75">
      <c r="E34">
        <v>14</v>
      </c>
      <c r="F34" s="75">
        <f>IF('Estimated salary'!D16&lt;Sheet2!H33,Sheet2!H34,Sheet2!I34)</f>
        <v>66327</v>
      </c>
      <c r="H34" s="75">
        <v>66327</v>
      </c>
      <c r="I34" s="72">
        <v>68980</v>
      </c>
      <c r="M34" t="s">
        <v>102</v>
      </c>
      <c r="N34">
        <v>53</v>
      </c>
      <c r="O34">
        <v>9</v>
      </c>
      <c r="P34">
        <v>14</v>
      </c>
    </row>
    <row r="35" spans="13:16" ht="12.75">
      <c r="M35" t="s">
        <v>103</v>
      </c>
      <c r="N35">
        <v>54</v>
      </c>
      <c r="O35">
        <v>9</v>
      </c>
      <c r="P35">
        <v>14</v>
      </c>
    </row>
    <row r="36" spans="13:16" ht="12.75">
      <c r="M36" t="s">
        <v>104</v>
      </c>
      <c r="N36">
        <v>55</v>
      </c>
      <c r="O36">
        <v>9</v>
      </c>
      <c r="P36">
        <v>14</v>
      </c>
    </row>
    <row r="37" spans="13:16" ht="12.75">
      <c r="M37" t="s">
        <v>105</v>
      </c>
      <c r="N37">
        <v>56</v>
      </c>
      <c r="O37">
        <v>9</v>
      </c>
      <c r="P37">
        <v>14</v>
      </c>
    </row>
    <row r="38" spans="13:16" ht="12.75">
      <c r="M38" t="s">
        <v>106</v>
      </c>
      <c r="N38">
        <v>56</v>
      </c>
      <c r="O38">
        <v>9</v>
      </c>
      <c r="P38">
        <v>14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Salary Calculator</dc:title>
  <dc:subject>salary assessment</dc:subject>
  <dc:creator>administrator</dc:creator>
  <cp:keywords>calculate salary, wages, pay, award, money, teaching, teacher, units, collective agreement</cp:keywords>
  <dc:description/>
  <cp:lastModifiedBy>jo </cp:lastModifiedBy>
  <dcterms:created xsi:type="dcterms:W3CDTF">2003-07-31T04:06:56Z</dcterms:created>
  <dcterms:modified xsi:type="dcterms:W3CDTF">2010-02-27T12:41:41Z</dcterms:modified>
  <cp:category/>
  <cp:version/>
  <cp:contentType/>
  <cp:contentStatus/>
  <cp:revision>2</cp:revision>
</cp:coreProperties>
</file>